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ocuments\TESORERIA\EEFF BOLSA\"/>
    </mc:Choice>
  </mc:AlternateContent>
  <bookViews>
    <workbookView xWindow="0" yWindow="0" windowWidth="20490" windowHeight="7755"/>
  </bookViews>
  <sheets>
    <sheet name="Mar17" sheetId="1" r:id="rId1"/>
  </sheets>
  <definedNames>
    <definedName name="_xlnm.Print_Area" localSheetId="0">'Mar17'!$B$4:$E$82</definedName>
    <definedName name="_xlnm.Print_Titles" localSheetId="0">'Mar17'!$1:$3</definedName>
  </definedNames>
  <calcPr calcId="15251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C29" i="1" l="1"/>
  <c r="C77" i="1" l="1"/>
  <c r="D77" i="1" s="1"/>
  <c r="C74" i="1"/>
  <c r="C81" i="1"/>
  <c r="D81" i="1" s="1"/>
  <c r="E65" i="1"/>
  <c r="D71" i="1"/>
  <c r="D70" i="1"/>
  <c r="D76" i="1"/>
  <c r="D75" i="1"/>
  <c r="D69" i="1"/>
  <c r="C72" i="1"/>
  <c r="D72" i="1" s="1"/>
  <c r="C65" i="1"/>
  <c r="D65" i="1" s="1"/>
  <c r="C63" i="1"/>
  <c r="D63" i="1"/>
  <c r="D62" i="1"/>
  <c r="D66" i="1" s="1"/>
  <c r="C53" i="1"/>
  <c r="D53" i="1" s="1"/>
  <c r="D57" i="1"/>
  <c r="D56" i="1"/>
  <c r="D55" i="1"/>
  <c r="D54" i="1"/>
  <c r="D52" i="1"/>
  <c r="D51" i="1"/>
  <c r="D50" i="1"/>
  <c r="D58" i="1" s="1"/>
  <c r="D45" i="1"/>
  <c r="D44" i="1"/>
  <c r="D43" i="1"/>
  <c r="D42" i="1"/>
  <c r="D41" i="1"/>
  <c r="D40" i="1"/>
  <c r="D39" i="1"/>
  <c r="D29" i="1"/>
  <c r="D36" i="1"/>
  <c r="D35" i="1"/>
  <c r="D34" i="1"/>
  <c r="D33" i="1"/>
  <c r="D32" i="1"/>
  <c r="D31" i="1"/>
  <c r="D30" i="1"/>
  <c r="D18" i="1"/>
  <c r="C20" i="1"/>
  <c r="C24" i="1"/>
  <c r="D24" i="1" s="1"/>
  <c r="D23" i="1"/>
  <c r="D22" i="1"/>
  <c r="D21" i="1"/>
  <c r="D16" i="1"/>
  <c r="C8" i="1"/>
  <c r="D73" i="1" l="1"/>
  <c r="D78" i="1" s="1"/>
  <c r="D82" i="1" s="1"/>
  <c r="D37" i="1"/>
  <c r="C25" i="1"/>
  <c r="D46" i="1"/>
  <c r="D20" i="1"/>
  <c r="D25" i="1" s="1"/>
  <c r="D26" i="1" s="1"/>
  <c r="E18" i="1"/>
  <c r="E20" i="1"/>
  <c r="E21" i="1"/>
  <c r="E22" i="1"/>
  <c r="E23" i="1"/>
  <c r="E24" i="1"/>
  <c r="E29" i="1"/>
  <c r="E31" i="1"/>
  <c r="E32" i="1"/>
  <c r="E33" i="1"/>
  <c r="E36" i="1"/>
  <c r="E39" i="1"/>
  <c r="E43" i="1"/>
  <c r="E44" i="1"/>
  <c r="E50" i="1"/>
  <c r="E52" i="1"/>
  <c r="E56" i="1"/>
  <c r="E57" i="1"/>
  <c r="E60" i="1"/>
  <c r="E62" i="1"/>
  <c r="E63" i="1"/>
  <c r="E70" i="1"/>
  <c r="E71" i="1"/>
  <c r="E72" i="1"/>
  <c r="E77" i="1"/>
  <c r="E81" i="1"/>
  <c r="E58" i="1" l="1"/>
  <c r="E25" i="1"/>
  <c r="E37" i="1"/>
  <c r="D47" i="1"/>
  <c r="D59" i="1" s="1"/>
  <c r="E66" i="1"/>
  <c r="E73" i="1" s="1"/>
  <c r="E78" i="1" s="1"/>
  <c r="E82" i="1" s="1"/>
  <c r="E46" i="1"/>
  <c r="E47" i="1" s="1"/>
  <c r="E59" i="1" s="1"/>
  <c r="E16" i="1"/>
  <c r="E26" i="1" s="1"/>
</calcChain>
</file>

<file path=xl/sharedStrings.xml><?xml version="1.0" encoding="utf-8"?>
<sst xmlns="http://schemas.openxmlformats.org/spreadsheetml/2006/main" count="82" uniqueCount="72">
  <si>
    <t>RESULTADO DEL PERÍODO</t>
  </si>
  <si>
    <t>Impuestos</t>
  </si>
  <si>
    <t>Reserva Legal</t>
  </si>
  <si>
    <t>Interés Minoritario</t>
  </si>
  <si>
    <t>RESULTADO ANTES DE RESERVA E IMPUESTOS</t>
  </si>
  <si>
    <t>Otros Gastos</t>
  </si>
  <si>
    <t>Gastos Financieros</t>
  </si>
  <si>
    <t>Ingresos Financieros</t>
  </si>
  <si>
    <t>Más ó Menos</t>
  </si>
  <si>
    <t>RESULTADO DE OPERACIÓN</t>
  </si>
  <si>
    <t>Gastos de Depreciación y Amortización</t>
  </si>
  <si>
    <t>Gastos de Personal</t>
  </si>
  <si>
    <t>Gastos de Administración</t>
  </si>
  <si>
    <t>Gastos de Distribución</t>
  </si>
  <si>
    <t>Gastos de Operación</t>
  </si>
  <si>
    <t>Menos</t>
  </si>
  <si>
    <t>RESULTADO BRUTO</t>
  </si>
  <si>
    <t>COSTO DE VENTAS</t>
  </si>
  <si>
    <t>Otros Ingresos</t>
  </si>
  <si>
    <t>Ingresos Ordinarios</t>
  </si>
  <si>
    <t>INGRESOS</t>
  </si>
  <si>
    <t>ESTADO DE RESULTADOS</t>
  </si>
  <si>
    <t>TOTAL PASIVO MÁS PATRIMONIO</t>
  </si>
  <si>
    <t>TOTAL PATRIMONIO</t>
  </si>
  <si>
    <t>Resultado del Período</t>
  </si>
  <si>
    <t>Resultados Acumulados</t>
  </si>
  <si>
    <t>Superávit por Acciones</t>
  </si>
  <si>
    <t>Reservas por Valuaciones</t>
  </si>
  <si>
    <t>Reserva Estatutaria o Voluntaria</t>
  </si>
  <si>
    <t xml:space="preserve">Capital Adicional </t>
  </si>
  <si>
    <t>Capital Social</t>
  </si>
  <si>
    <t>PATRIMONIO</t>
  </si>
  <si>
    <t>Interés Minoritario o Socios Externos</t>
  </si>
  <si>
    <t>TOTAL DE PASIVO</t>
  </si>
  <si>
    <t>TOTAL PASIVO NO CORRIENTE</t>
  </si>
  <si>
    <t>Provisiones</t>
  </si>
  <si>
    <t>Otros Pasivos Financieros</t>
  </si>
  <si>
    <t>Impuestos Diferidos</t>
  </si>
  <si>
    <t>Depósitos de Consumidores</t>
  </si>
  <si>
    <t>Obligaciones Emisión de Títulosvalores</t>
  </si>
  <si>
    <t>Cuentas por Pagar Empresas Relacionadas</t>
  </si>
  <si>
    <t>Préstamos y Otras Obligaciones Financieras</t>
  </si>
  <si>
    <t>PASIVO NO CORRIENTE</t>
  </si>
  <si>
    <t>TOTAL PASIVO CORRIENTE</t>
  </si>
  <si>
    <t>Impuestos Corrientes</t>
  </si>
  <si>
    <t>Porción de los Préstamos a Largo Plazo con vencimiento a corto plazo</t>
  </si>
  <si>
    <t>Préstamos de Corto Plazo</t>
  </si>
  <si>
    <t>Acreedores comerciales y Otras Cuentas por Pagar</t>
  </si>
  <si>
    <t>PASIVO CORRIENTE</t>
  </si>
  <si>
    <t>PASIVO</t>
  </si>
  <si>
    <t>TOTAL DE ACTIVO</t>
  </si>
  <si>
    <t>TOTAL ACTIVO NO CORRIENTE</t>
  </si>
  <si>
    <t>Otros Activos financieros</t>
  </si>
  <si>
    <t>Activos intangibles</t>
  </si>
  <si>
    <t>Inversiones</t>
  </si>
  <si>
    <t xml:space="preserve">Cuentas por cobrar a LP </t>
  </si>
  <si>
    <t>Propiedades de Inversión</t>
  </si>
  <si>
    <t>Propiedades, Planta y Equipo  (Neto)</t>
  </si>
  <si>
    <t>ACTIVO NO CORRIENTE</t>
  </si>
  <si>
    <t>TOTAL ACTIVO CORRIENTE</t>
  </si>
  <si>
    <t>Activos biológicos</t>
  </si>
  <si>
    <t>Pagos por Anticipado</t>
  </si>
  <si>
    <t>Inventario (Materiales, Suministros, etc.)</t>
  </si>
  <si>
    <t>Cuentas por cobrar Empresas Relacionadas</t>
  </si>
  <si>
    <t>Deudores comerciales y Otras Cuentas por Cobrar (Netos)</t>
  </si>
  <si>
    <t>Efectivo y Equivalentes de Efectivo</t>
  </si>
  <si>
    <t>ACTIVO CORRIENTE</t>
  </si>
  <si>
    <t>ACTIVO</t>
  </si>
  <si>
    <t>BALANCE GENERAL</t>
  </si>
  <si>
    <t>(En miles de Dólares de Estados Unidos de América)</t>
  </si>
  <si>
    <t>CIFRAS  AL 31 DE MARZO DE 2017 Y 2016</t>
  </si>
  <si>
    <t>CREDIQ, S.A. DE C.V. Y SUBSIDIARIAS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</si>
</sst>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50"/>
      <name val="Arial"/>
      <family val="2"/>
    </font>
    <font>
      <b/>
      <sz val="16"/>
      <color indexed="9"/>
      <name val="Arial"/>
      <family val="2"/>
    </font>
    <font>
      <sz val="12"/>
      <color indexed="14"/>
      <name val="Arial"/>
      <family val="2"/>
    </font>
    <font>
      <b/>
      <sz val="12"/>
      <color indexed="12"/>
      <name val="Arial"/>
      <family val="2"/>
    </font>
    <font>
      <sz val="10"/>
      <color indexed="14"/>
      <name val="Arial"/>
      <family val="2"/>
    </font>
    <font>
      <b/>
      <sz val="16"/>
      <color indexed="63"/>
      <name val="Arial"/>
      <family val="2"/>
    </font>
    <font>
      <sz val="9"/>
      <name val="Tahoma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4"/>
      </left>
      <right style="thin">
        <color indexed="1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4"/>
      </right>
      <top style="thin">
        <color indexed="64"/>
      </top>
      <bottom style="thin">
        <color indexed="64"/>
      </bottom>
      <diagonal/>
    </border>
    <border>
      <left/>
      <right style="thin">
        <color indexed="1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/>
  </cellStyleXfs>
  <cellXfs count="40">
    <xf numFmtId="0" fontId="0" fillId="0" borderId="0" xfId="0"/>
    <xf numFmtId="165" fontId="2" fillId="0" borderId="0" xfId="1" applyNumberFormat="1" applyFont="1" applyAlignment="1">
      <alignment vertical="center"/>
    </xf>
    <xf numFmtId="165" fontId="3" fillId="0" borderId="1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65" fontId="0" fillId="0" borderId="0" xfId="1" applyNumberFormat="1" applyFont="1" applyAlignment="1">
      <alignment vertical="center"/>
    </xf>
    <xf numFmtId="165" fontId="4" fillId="0" borderId="2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165" fontId="3" fillId="0" borderId="2" xfId="1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165" fontId="5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164" fontId="0" fillId="0" borderId="0" xfId="1" applyFont="1" applyAlignment="1">
      <alignment vertical="center"/>
    </xf>
    <xf numFmtId="165" fontId="6" fillId="0" borderId="2" xfId="1" applyNumberFormat="1" applyFont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vertical="center"/>
    </xf>
    <xf numFmtId="165" fontId="3" fillId="0" borderId="2" xfId="1" applyNumberFormat="1" applyFont="1" applyFill="1" applyBorder="1" applyAlignment="1">
      <alignment horizontal="right" vertical="center"/>
    </xf>
    <xf numFmtId="165" fontId="3" fillId="3" borderId="2" xfId="1" applyNumberFormat="1" applyFont="1" applyFill="1" applyBorder="1" applyAlignment="1">
      <alignment horizontal="right" vertical="center"/>
    </xf>
    <xf numFmtId="165" fontId="4" fillId="0" borderId="2" xfId="1" applyNumberFormat="1" applyFont="1" applyFill="1" applyBorder="1" applyAlignment="1">
      <alignment vertical="center"/>
    </xf>
    <xf numFmtId="165" fontId="4" fillId="0" borderId="2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Fill="1"/>
    <xf numFmtId="0" fontId="7" fillId="2" borderId="5" xfId="0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vertical="center"/>
    </xf>
    <xf numFmtId="38" fontId="13" fillId="0" borderId="0" xfId="2" applyNumberFormat="1" applyFont="1" applyFill="1"/>
    <xf numFmtId="43" fontId="3" fillId="0" borderId="2" xfId="1" applyNumberFormat="1" applyFont="1" applyBorder="1" applyAlignment="1">
      <alignment horizontal="right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3">
    <cellStyle name="Millares 2" xfId="1"/>
    <cellStyle name="Normal" xfId="0" builtinId="0"/>
    <cellStyle name="Normal_Junio_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30</xdr:row>
      <xdr:rowOff>38100</xdr:rowOff>
    </xdr:from>
    <xdr:to>
      <xdr:col>5</xdr:col>
      <xdr:colOff>0</xdr:colOff>
      <xdr:row>66</xdr:row>
      <xdr:rowOff>66675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7781925" y="4895850"/>
          <a:ext cx="0" cy="5857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BALANCE GENERAL, BALANCE DE COMPROBACIÓN O DE SITUACIÓN: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Muestra el equilibrio ante el total de activos (recursos) y la suma de pasivo y capital (obligaciones y patrimonio). La presentación se hace atendiendo el grado de realización y exigibilidad, así: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ACTIVO CORRIENTE: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Recursos de mayor grado de disponibilidad o realización a un año plazo.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ACTIVO NO CORRIENTE: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Recursos que presentan menor grado de disponibilidad o realización a más de un año plazo.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PASIVO CORRIENTE: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Obligaciones exigibles a corto plazo, un año.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PASIVO NO CORRIENTE: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Obligaciones que tienen un menor grado de exigibilidad, cuyo vencimiento supera el término de un año.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PATRIMONIO: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Representa la inversión inicial de los accionistas, más el crecimiento generado en el tiempo.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VALOR CONTABLE DE LAS ACCIONES: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Es el Patrimonio Total dividido entre la cantidad de acciones que representan el capital social, ó el Patrimonio Total dividido entre el Capital Social y multiplicados por el Valor Nominal por acción. Es un valor de referencia comparable con la inversión inicial del accionista, el valor nominal y el de mercado.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ESTADO DE RESULTADOS: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Muestra en forma ordenada y sistemática, los ingresos, costos y gastos de una entidad en un período, obtenidos de las operaciones realizadas, mostrando el efecto positivo (utilidad) o negativo (pérdida).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RAZONES FINANCIERAS: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interpretación debe realizarse de acuerdo al sector al que pertenece la empresa.</a:t>
          </a:r>
        </a:p>
      </xdr:txBody>
    </xdr:sp>
    <xdr:clientData/>
  </xdr:twoCellAnchor>
  <xdr:twoCellAnchor>
    <xdr:from>
      <xdr:col>5</xdr:col>
      <xdr:colOff>0</xdr:colOff>
      <xdr:row>69</xdr:row>
      <xdr:rowOff>19050</xdr:rowOff>
    </xdr:from>
    <xdr:to>
      <xdr:col>5</xdr:col>
      <xdr:colOff>0</xdr:colOff>
      <xdr:row>82</xdr:row>
      <xdr:rowOff>0</xdr:rowOff>
    </xdr:to>
    <xdr:sp macro="" textlink="">
      <xdr:nvSpPr>
        <xdr:cNvPr id="3" name="Rectangle 5"/>
        <xdr:cNvSpPr>
          <a:spLocks noChangeArrowheads="1"/>
        </xdr:cNvSpPr>
      </xdr:nvSpPr>
      <xdr:spPr bwMode="auto">
        <a:xfrm>
          <a:off x="7781925" y="11191875"/>
          <a:ext cx="0" cy="2085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LAS CIFRAS SE HAN TOMADO DE LOS ESTADOS FINANCIEROS REMITIDOS A ESTA SUPERINTENDENCIA POR LOS EMISORES DE VALORES.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 LA FECHA, LA CLASE DE VALORES QUE ESTÁN REGISTRADOS Y QUE PUEDEN NEGOCIARSE SON: TÍTULOS DE PARTICIPACIÓN-ACCIONES Y TÍTULOS DE DEUDA.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LOS BANCOS PRIVADOS TIENEN REGISTRADOS TÍTULOS DE DEUDA Y SUS ACCIONES, CUYOS ESTADOS FINANCIEROS SON PUBLICADOS POR LAS MISMAS INSTITUCIONES.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ESTA INFORMACIÓN: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 ES LA ÚNICA HERRAMIENTA PARA TOMAR LA DECISIÓN DE INVERTIR.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 ES INDICADOR DE LA CALIFICACIÓN DE LA CALIDAD DE LOS TÍTULOS VALORES EN CIRCULACIÓN, NI DE LA SOLVENCIA DE SUS EMISORES.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showGridLines="0" tabSelected="1" topLeftCell="A46" zoomScale="80" zoomScaleNormal="80" zoomScaleSheetLayoutView="85" workbookViewId="0">
      <selection activeCell="G58" sqref="G58"/>
    </sheetView>
  </sheetViews>
  <sheetFormatPr defaultColWidth="0" defaultRowHeight="0" customHeight="1" zeroHeight="1" x14ac:dyDescent="0.2"/>
  <cols>
    <col min="1" max="1" width="3.140625" customWidth="1"/>
    <col min="2" max="2" width="77.5703125" bestFit="1" customWidth="1"/>
    <col min="3" max="3" width="16.140625" hidden="1" customWidth="1"/>
    <col min="4" max="4" width="16.140625" customWidth="1"/>
    <col min="5" max="5" width="18" bestFit="1" customWidth="1"/>
    <col min="6" max="6" width="13.85546875" customWidth="1"/>
    <col min="7" max="7" width="13.7109375" customWidth="1"/>
  </cols>
  <sheetData>
    <row r="1" spans="1:6" ht="20.25" x14ac:dyDescent="0.3">
      <c r="B1" s="38" t="s">
        <v>71</v>
      </c>
      <c r="C1" s="38"/>
      <c r="D1" s="38"/>
      <c r="E1" s="38"/>
      <c r="F1" s="33"/>
    </row>
    <row r="2" spans="1:6" ht="20.100000000000001" customHeight="1" x14ac:dyDescent="0.3">
      <c r="B2" s="39" t="s">
        <v>70</v>
      </c>
      <c r="C2" s="39"/>
      <c r="D2" s="39"/>
      <c r="E2" s="39"/>
      <c r="F2" s="32"/>
    </row>
    <row r="3" spans="1:6" s="30" customFormat="1" ht="20.25" x14ac:dyDescent="0.3">
      <c r="B3" s="39" t="s">
        <v>69</v>
      </c>
      <c r="C3" s="39"/>
      <c r="D3" s="39"/>
      <c r="E3" s="39"/>
      <c r="F3" s="31"/>
    </row>
    <row r="4" spans="1:6" s="28" customFormat="1" ht="20.100000000000001" customHeight="1" x14ac:dyDescent="0.2">
      <c r="B4" s="17" t="s">
        <v>68</v>
      </c>
      <c r="C4" s="34"/>
      <c r="D4" s="34">
        <v>2017</v>
      </c>
      <c r="E4" s="16">
        <v>2016</v>
      </c>
    </row>
    <row r="5" spans="1:6" s="28" customFormat="1" ht="20.100000000000001" customHeight="1" x14ac:dyDescent="0.2">
      <c r="B5" s="21" t="s">
        <v>67</v>
      </c>
      <c r="C5" s="21"/>
      <c r="D5" s="21"/>
      <c r="E5" s="29"/>
    </row>
    <row r="6" spans="1:6" s="19" customFormat="1" ht="21.95" customHeight="1" x14ac:dyDescent="0.2">
      <c r="A6" s="8"/>
      <c r="B6" s="10" t="s">
        <v>66</v>
      </c>
      <c r="C6" s="10"/>
      <c r="D6" s="10"/>
      <c r="E6" s="27"/>
    </row>
    <row r="7" spans="1:6" s="19" customFormat="1" ht="21.95" customHeight="1" x14ac:dyDescent="0.2">
      <c r="A7" s="8"/>
      <c r="B7" s="7" t="s">
        <v>65</v>
      </c>
      <c r="C7" s="7">
        <v>9122972.1899999995</v>
      </c>
      <c r="D7" s="26">
        <v>9122.9721899999986</v>
      </c>
      <c r="E7" s="26">
        <f>5497280/1000</f>
        <v>5497.28</v>
      </c>
    </row>
    <row r="8" spans="1:6" s="19" customFormat="1" ht="21.95" customHeight="1" x14ac:dyDescent="0.2">
      <c r="A8" s="8"/>
      <c r="B8" s="7" t="s">
        <v>64</v>
      </c>
      <c r="C8" s="7">
        <f>31171894.67+2330599.94</f>
        <v>33502494.610000003</v>
      </c>
      <c r="D8" s="26">
        <v>33502.494610000002</v>
      </c>
      <c r="E8" s="6">
        <f>(28708886)/1000</f>
        <v>28708.885999999999</v>
      </c>
    </row>
    <row r="9" spans="1:6" s="19" customFormat="1" ht="21.95" customHeight="1" x14ac:dyDescent="0.2">
      <c r="A9" s="8"/>
      <c r="B9" s="7" t="s">
        <v>63</v>
      </c>
      <c r="C9" s="7">
        <v>141640.31</v>
      </c>
      <c r="D9" s="26">
        <v>141.64031</v>
      </c>
      <c r="E9" s="22">
        <f>851612/1000</f>
        <v>851.61199999999997</v>
      </c>
    </row>
    <row r="10" spans="1:6" s="19" customFormat="1" ht="21.95" customHeight="1" x14ac:dyDescent="0.2">
      <c r="A10" s="8"/>
      <c r="B10" s="7" t="s">
        <v>54</v>
      </c>
      <c r="C10" s="7">
        <v>50000</v>
      </c>
      <c r="D10" s="26">
        <v>50</v>
      </c>
      <c r="E10" s="22">
        <f>(50000)/1000</f>
        <v>50</v>
      </c>
    </row>
    <row r="11" spans="1:6" s="19" customFormat="1" ht="21.95" customHeight="1" x14ac:dyDescent="0.2">
      <c r="A11" s="8"/>
      <c r="B11" s="7" t="s">
        <v>62</v>
      </c>
      <c r="C11" s="7">
        <v>2062068.07</v>
      </c>
      <c r="D11" s="26">
        <v>2062.0680700000003</v>
      </c>
      <c r="E11" s="22">
        <f>+(1161138)/1000</f>
        <v>1161.1379999999999</v>
      </c>
    </row>
    <row r="12" spans="1:6" s="19" customFormat="1" ht="21.95" customHeight="1" x14ac:dyDescent="0.2">
      <c r="A12" s="8"/>
      <c r="B12" s="7" t="s">
        <v>61</v>
      </c>
      <c r="C12" s="7">
        <v>425250.65</v>
      </c>
      <c r="D12" s="26">
        <v>425.25065000000001</v>
      </c>
      <c r="E12" s="22">
        <f>398956/1000</f>
        <v>398.95600000000002</v>
      </c>
    </row>
    <row r="13" spans="1:6" s="19" customFormat="1" ht="21.95" customHeight="1" x14ac:dyDescent="0.2">
      <c r="A13" s="8"/>
      <c r="B13" s="7" t="s">
        <v>60</v>
      </c>
      <c r="C13" s="7"/>
      <c r="D13" s="7"/>
      <c r="E13" s="22">
        <v>0</v>
      </c>
    </row>
    <row r="14" spans="1:6" s="19" customFormat="1" ht="21.95" customHeight="1" x14ac:dyDescent="0.2">
      <c r="A14" s="8"/>
      <c r="B14" s="7" t="s">
        <v>44</v>
      </c>
      <c r="C14" s="7"/>
      <c r="D14" s="7"/>
      <c r="E14" s="22">
        <v>0</v>
      </c>
    </row>
    <row r="15" spans="1:6" s="19" customFormat="1" ht="21.95" customHeight="1" x14ac:dyDescent="0.2">
      <c r="A15" s="8"/>
      <c r="B15" s="7" t="s">
        <v>52</v>
      </c>
      <c r="C15" s="7"/>
      <c r="D15" s="7"/>
      <c r="E15" s="22">
        <v>0</v>
      </c>
    </row>
    <row r="16" spans="1:6" s="18" customFormat="1" ht="21.95" customHeight="1" x14ac:dyDescent="0.2">
      <c r="A16" s="4"/>
      <c r="B16" s="10" t="s">
        <v>59</v>
      </c>
      <c r="C16" s="10"/>
      <c r="D16" s="24">
        <f>SUM(D7:D15)</f>
        <v>45304.425830000007</v>
      </c>
      <c r="E16" s="24">
        <f>SUM(E7:E15)</f>
        <v>36667.871999999996</v>
      </c>
    </row>
    <row r="17" spans="1:5" s="19" customFormat="1" ht="21.95" customHeight="1" x14ac:dyDescent="0.2">
      <c r="A17" s="8"/>
      <c r="B17" s="10" t="s">
        <v>58</v>
      </c>
      <c r="C17" s="10"/>
      <c r="D17" s="10"/>
      <c r="E17" s="22"/>
    </row>
    <row r="18" spans="1:5" s="19" customFormat="1" ht="21.95" customHeight="1" x14ac:dyDescent="0.2">
      <c r="A18" s="8"/>
      <c r="B18" s="7" t="s">
        <v>57</v>
      </c>
      <c r="C18" s="7">
        <v>2448591.75</v>
      </c>
      <c r="D18" s="26">
        <f t="shared" ref="D18:D24" si="0">C18/1000</f>
        <v>2448.59175</v>
      </c>
      <c r="E18" s="22">
        <f>(1583686)/1000</f>
        <v>1583.6859999999999</v>
      </c>
    </row>
    <row r="19" spans="1:5" s="19" customFormat="1" ht="21.95" customHeight="1" x14ac:dyDescent="0.2">
      <c r="A19" s="8"/>
      <c r="B19" s="7" t="s">
        <v>56</v>
      </c>
      <c r="C19" s="7"/>
      <c r="D19" s="26"/>
      <c r="E19" s="22">
        <v>0</v>
      </c>
    </row>
    <row r="20" spans="1:5" s="19" customFormat="1" ht="21.95" customHeight="1" x14ac:dyDescent="0.2">
      <c r="A20" s="8"/>
      <c r="B20" s="7" t="s">
        <v>55</v>
      </c>
      <c r="C20" s="7">
        <f>125276282.63+3953716.23</f>
        <v>129229998.86</v>
      </c>
      <c r="D20" s="26">
        <f t="shared" si="0"/>
        <v>129229.99885999999</v>
      </c>
      <c r="E20" s="22">
        <f>(114819722)/1000</f>
        <v>114819.72199999999</v>
      </c>
    </row>
    <row r="21" spans="1:5" s="19" customFormat="1" ht="21.95" customHeight="1" x14ac:dyDescent="0.2">
      <c r="A21" s="8"/>
      <c r="B21" s="7" t="s">
        <v>54</v>
      </c>
      <c r="C21" s="7"/>
      <c r="D21" s="26">
        <f t="shared" si="0"/>
        <v>0</v>
      </c>
      <c r="E21" s="22">
        <f>110/1000</f>
        <v>0.11</v>
      </c>
    </row>
    <row r="22" spans="1:5" s="19" customFormat="1" ht="21.95" customHeight="1" x14ac:dyDescent="0.2">
      <c r="A22" s="8"/>
      <c r="B22" s="7" t="s">
        <v>53</v>
      </c>
      <c r="C22" s="7">
        <v>2344934.15</v>
      </c>
      <c r="D22" s="26">
        <f t="shared" si="0"/>
        <v>2344.93415</v>
      </c>
      <c r="E22" s="22">
        <f>(1468037)/1000</f>
        <v>1468.037</v>
      </c>
    </row>
    <row r="23" spans="1:5" s="19" customFormat="1" ht="21.95" customHeight="1" x14ac:dyDescent="0.2">
      <c r="A23" s="8"/>
      <c r="B23" s="7" t="s">
        <v>37</v>
      </c>
      <c r="C23" s="7">
        <v>48665.16</v>
      </c>
      <c r="D23" s="26">
        <f t="shared" si="0"/>
        <v>48.66516</v>
      </c>
      <c r="E23" s="22">
        <f>158653/1000</f>
        <v>158.65299999999999</v>
      </c>
    </row>
    <row r="24" spans="1:5" s="19" customFormat="1" ht="21.95" customHeight="1" x14ac:dyDescent="0.2">
      <c r="A24" s="8"/>
      <c r="B24" s="7" t="s">
        <v>52</v>
      </c>
      <c r="C24" s="7">
        <f>426807.63</f>
        <v>426807.63</v>
      </c>
      <c r="D24" s="26">
        <f t="shared" si="0"/>
        <v>426.80763000000002</v>
      </c>
      <c r="E24" s="22">
        <f>(313935)/1000</f>
        <v>313.935</v>
      </c>
    </row>
    <row r="25" spans="1:5" s="18" customFormat="1" ht="21.95" customHeight="1" x14ac:dyDescent="0.2">
      <c r="A25" s="4"/>
      <c r="B25" s="10" t="s">
        <v>51</v>
      </c>
      <c r="C25" s="9">
        <f>SUM(C18:C24)</f>
        <v>134498997.55000001</v>
      </c>
      <c r="D25" s="9">
        <f>SUM(D18:D24)</f>
        <v>134498.99754999997</v>
      </c>
      <c r="E25" s="9">
        <f>SUM(E18:E24)</f>
        <v>118344.143</v>
      </c>
    </row>
    <row r="26" spans="1:5" s="18" customFormat="1" ht="21.95" customHeight="1" x14ac:dyDescent="0.2">
      <c r="A26" s="4"/>
      <c r="B26" s="10" t="s">
        <v>50</v>
      </c>
      <c r="C26" s="10"/>
      <c r="D26" s="25">
        <f>+D16+D25</f>
        <v>179803.42337999999</v>
      </c>
      <c r="E26" s="25">
        <f>+E16+E25</f>
        <v>155012.01499999998</v>
      </c>
    </row>
    <row r="27" spans="1:5" s="19" customFormat="1" ht="21.95" customHeight="1" x14ac:dyDescent="0.2">
      <c r="A27" s="8"/>
      <c r="B27" s="21" t="s">
        <v>49</v>
      </c>
      <c r="C27" s="21"/>
      <c r="D27" s="21"/>
      <c r="E27" s="6"/>
    </row>
    <row r="28" spans="1:5" s="19" customFormat="1" ht="21.95" customHeight="1" x14ac:dyDescent="0.2">
      <c r="A28" s="8"/>
      <c r="B28" s="10" t="s">
        <v>48</v>
      </c>
      <c r="C28" s="10"/>
      <c r="D28" s="10"/>
      <c r="E28" s="6"/>
    </row>
    <row r="29" spans="1:5" s="19" customFormat="1" ht="21.95" customHeight="1" x14ac:dyDescent="0.2">
      <c r="A29" s="8"/>
      <c r="B29" s="7" t="s">
        <v>47</v>
      </c>
      <c r="C29" s="7">
        <f>122443.63</f>
        <v>122443.63</v>
      </c>
      <c r="D29" s="26">
        <f t="shared" ref="D29:D36" si="1">C29/1000</f>
        <v>122.44363</v>
      </c>
      <c r="E29" s="22">
        <f>(2802738)/1000</f>
        <v>2802.7379999999998</v>
      </c>
    </row>
    <row r="30" spans="1:5" s="19" customFormat="1" ht="21.95" customHeight="1" x14ac:dyDescent="0.2">
      <c r="A30" s="8"/>
      <c r="B30" s="7" t="s">
        <v>46</v>
      </c>
      <c r="C30" s="7">
        <v>36978948</v>
      </c>
      <c r="D30" s="26">
        <f t="shared" si="1"/>
        <v>36978.947999999997</v>
      </c>
      <c r="E30" s="22">
        <v>0</v>
      </c>
    </row>
    <row r="31" spans="1:5" s="19" customFormat="1" ht="21.95" customHeight="1" x14ac:dyDescent="0.2">
      <c r="A31" s="8"/>
      <c r="B31" s="7" t="s">
        <v>45</v>
      </c>
      <c r="C31" s="7"/>
      <c r="D31" s="26">
        <f t="shared" si="1"/>
        <v>0</v>
      </c>
      <c r="E31" s="22">
        <f>33976972/1000</f>
        <v>33976.972000000002</v>
      </c>
    </row>
    <row r="32" spans="1:5" s="19" customFormat="1" ht="21.95" customHeight="1" x14ac:dyDescent="0.2">
      <c r="A32" s="8"/>
      <c r="B32" s="7" t="s">
        <v>39</v>
      </c>
      <c r="C32" s="7">
        <v>10308956.1</v>
      </c>
      <c r="D32" s="26">
        <f t="shared" si="1"/>
        <v>10308.956099999999</v>
      </c>
      <c r="E32" s="22">
        <f>21654296/1000</f>
        <v>21654.295999999998</v>
      </c>
    </row>
    <row r="33" spans="1:6" s="19" customFormat="1" ht="21.95" customHeight="1" x14ac:dyDescent="0.2">
      <c r="A33" s="8"/>
      <c r="B33" s="7" t="s">
        <v>40</v>
      </c>
      <c r="C33" s="7">
        <v>1171328.8600000001</v>
      </c>
      <c r="D33" s="26">
        <f t="shared" si="1"/>
        <v>1171.3288600000001</v>
      </c>
      <c r="E33" s="22">
        <f>3765521/1000</f>
        <v>3765.5210000000002</v>
      </c>
    </row>
    <row r="34" spans="1:6" s="19" customFormat="1" ht="21.95" customHeight="1" x14ac:dyDescent="0.2">
      <c r="A34" s="8"/>
      <c r="B34" s="7" t="s">
        <v>44</v>
      </c>
      <c r="C34" s="7">
        <v>3239733.16</v>
      </c>
      <c r="D34" s="26">
        <f t="shared" si="1"/>
        <v>3239.7331600000002</v>
      </c>
      <c r="E34" s="22"/>
    </row>
    <row r="35" spans="1:6" s="19" customFormat="1" ht="21.95" customHeight="1" x14ac:dyDescent="0.2">
      <c r="A35" s="8"/>
      <c r="B35" s="7" t="s">
        <v>35</v>
      </c>
      <c r="C35" s="7">
        <v>580652.05000000005</v>
      </c>
      <c r="D35" s="26">
        <f t="shared" si="1"/>
        <v>580.65205000000003</v>
      </c>
      <c r="E35" s="22"/>
    </row>
    <row r="36" spans="1:6" s="19" customFormat="1" ht="21.95" customHeight="1" x14ac:dyDescent="0.2">
      <c r="A36" s="8"/>
      <c r="B36" s="7" t="s">
        <v>36</v>
      </c>
      <c r="C36" s="7">
        <v>1832463.69</v>
      </c>
      <c r="D36" s="26">
        <f t="shared" si="1"/>
        <v>1832.46369</v>
      </c>
      <c r="E36" s="22">
        <f>2135532/1000</f>
        <v>2135.5320000000002</v>
      </c>
    </row>
    <row r="37" spans="1:6" s="18" customFormat="1" ht="21.95" customHeight="1" x14ac:dyDescent="0.2">
      <c r="A37" s="4"/>
      <c r="B37" s="10" t="s">
        <v>43</v>
      </c>
      <c r="C37" s="10"/>
      <c r="D37" s="24">
        <f>SUM(D29:D36)</f>
        <v>54234.525489999993</v>
      </c>
      <c r="E37" s="24">
        <f>SUM(E29:E36)</f>
        <v>64335.058999999994</v>
      </c>
    </row>
    <row r="38" spans="1:6" s="19" customFormat="1" ht="21.95" customHeight="1" x14ac:dyDescent="0.2">
      <c r="A38" s="8"/>
      <c r="B38" s="10" t="s">
        <v>42</v>
      </c>
      <c r="C38" s="10"/>
      <c r="D38" s="10"/>
      <c r="E38" s="22"/>
    </row>
    <row r="39" spans="1:6" s="19" customFormat="1" ht="21.95" customHeight="1" x14ac:dyDescent="0.2">
      <c r="A39" s="8"/>
      <c r="B39" s="7" t="s">
        <v>41</v>
      </c>
      <c r="C39" s="7">
        <v>78963882.310000002</v>
      </c>
      <c r="D39" s="26">
        <f t="shared" ref="D39:D45" si="2">C39/1000</f>
        <v>78963.882310000001</v>
      </c>
      <c r="E39" s="22">
        <f>65555390/1000</f>
        <v>65555.39</v>
      </c>
      <c r="F39" s="23"/>
    </row>
    <row r="40" spans="1:6" s="19" customFormat="1" ht="21.95" customHeight="1" x14ac:dyDescent="0.2">
      <c r="A40" s="8"/>
      <c r="B40" s="7" t="s">
        <v>40</v>
      </c>
      <c r="C40" s="7"/>
      <c r="D40" s="26">
        <f t="shared" si="2"/>
        <v>0</v>
      </c>
      <c r="E40" s="22">
        <v>0</v>
      </c>
    </row>
    <row r="41" spans="1:6" s="19" customFormat="1" ht="21.95" customHeight="1" x14ac:dyDescent="0.2">
      <c r="A41" s="8"/>
      <c r="B41" s="7" t="s">
        <v>39</v>
      </c>
      <c r="C41" s="7">
        <v>18509800</v>
      </c>
      <c r="D41" s="26">
        <f t="shared" si="2"/>
        <v>18509.8</v>
      </c>
      <c r="E41" s="22">
        <v>0</v>
      </c>
    </row>
    <row r="42" spans="1:6" s="19" customFormat="1" ht="21.95" customHeight="1" x14ac:dyDescent="0.2">
      <c r="A42" s="8"/>
      <c r="B42" s="7" t="s">
        <v>38</v>
      </c>
      <c r="C42" s="7"/>
      <c r="D42" s="26">
        <f t="shared" si="2"/>
        <v>0</v>
      </c>
      <c r="E42" s="22">
        <v>0</v>
      </c>
    </row>
    <row r="43" spans="1:6" s="19" customFormat="1" ht="21.95" customHeight="1" x14ac:dyDescent="0.2">
      <c r="A43" s="8"/>
      <c r="B43" s="7" t="s">
        <v>37</v>
      </c>
      <c r="C43" s="7">
        <v>5986.47</v>
      </c>
      <c r="D43" s="26">
        <f t="shared" si="2"/>
        <v>5.9864700000000006</v>
      </c>
      <c r="E43" s="22">
        <f>22267/1000</f>
        <v>22.266999999999999</v>
      </c>
    </row>
    <row r="44" spans="1:6" s="19" customFormat="1" ht="21.95" customHeight="1" x14ac:dyDescent="0.2">
      <c r="A44" s="8"/>
      <c r="B44" s="7" t="s">
        <v>36</v>
      </c>
      <c r="C44" s="7"/>
      <c r="D44" s="26">
        <f t="shared" si="2"/>
        <v>0</v>
      </c>
      <c r="E44" s="22">
        <f>(523365)/1000</f>
        <v>523.36500000000001</v>
      </c>
    </row>
    <row r="45" spans="1:6" s="19" customFormat="1" ht="21.95" customHeight="1" x14ac:dyDescent="0.2">
      <c r="A45" s="8"/>
      <c r="B45" s="7" t="s">
        <v>35</v>
      </c>
      <c r="C45" s="7">
        <v>64419.1</v>
      </c>
      <c r="D45" s="26">
        <f t="shared" si="2"/>
        <v>64.4191</v>
      </c>
      <c r="E45" s="22"/>
    </row>
    <row r="46" spans="1:6" s="18" customFormat="1" ht="21.95" customHeight="1" x14ac:dyDescent="0.2">
      <c r="A46" s="4"/>
      <c r="B46" s="10" t="s">
        <v>34</v>
      </c>
      <c r="C46" s="10"/>
      <c r="D46" s="9">
        <f>SUM(D39:D45)</f>
        <v>97544.087880000006</v>
      </c>
      <c r="E46" s="9">
        <f>SUM(E39:E45)</f>
        <v>66101.022000000012</v>
      </c>
    </row>
    <row r="47" spans="1:6" s="18" customFormat="1" ht="21.95" customHeight="1" x14ac:dyDescent="0.2">
      <c r="A47" s="4"/>
      <c r="B47" s="10" t="s">
        <v>33</v>
      </c>
      <c r="C47" s="10"/>
      <c r="D47" s="9">
        <f>+D37+D46</f>
        <v>151778.61337000001</v>
      </c>
      <c r="E47" s="9">
        <f>+E37+E46</f>
        <v>130436.08100000001</v>
      </c>
    </row>
    <row r="48" spans="1:6" s="19" customFormat="1" ht="21.95" customHeight="1" x14ac:dyDescent="0.2">
      <c r="A48" s="8"/>
      <c r="B48" s="7" t="s">
        <v>32</v>
      </c>
      <c r="C48" s="7"/>
      <c r="D48" s="7"/>
      <c r="E48" s="6"/>
    </row>
    <row r="49" spans="1:7" s="19" customFormat="1" ht="21.95" customHeight="1" x14ac:dyDescent="0.2">
      <c r="A49" s="8"/>
      <c r="B49" s="21" t="s">
        <v>31</v>
      </c>
      <c r="C49" s="21"/>
      <c r="D49" s="21"/>
      <c r="E49" s="6"/>
    </row>
    <row r="50" spans="1:7" s="20" customFormat="1" ht="21.95" customHeight="1" x14ac:dyDescent="0.2">
      <c r="A50" s="12"/>
      <c r="B50" s="7" t="s">
        <v>30</v>
      </c>
      <c r="C50" s="7">
        <v>14700100</v>
      </c>
      <c r="D50" s="26">
        <f t="shared" ref="D50:D57" si="3">C50/1000</f>
        <v>14700.1</v>
      </c>
      <c r="E50" s="6">
        <f>14700100/1000</f>
        <v>14700.1</v>
      </c>
    </row>
    <row r="51" spans="1:7" s="19" customFormat="1" ht="21.95" customHeight="1" x14ac:dyDescent="0.2">
      <c r="A51" s="8"/>
      <c r="B51" s="7" t="s">
        <v>29</v>
      </c>
      <c r="C51" s="7"/>
      <c r="D51" s="26">
        <f t="shared" si="3"/>
        <v>0</v>
      </c>
      <c r="E51" s="6">
        <v>0</v>
      </c>
    </row>
    <row r="52" spans="1:7" s="19" customFormat="1" ht="21.95" customHeight="1" x14ac:dyDescent="0.2">
      <c r="A52" s="8"/>
      <c r="B52" s="7" t="s">
        <v>2</v>
      </c>
      <c r="C52" s="36">
        <v>4780220.9200000009</v>
      </c>
      <c r="D52" s="26">
        <f t="shared" si="3"/>
        <v>4780.2209200000007</v>
      </c>
      <c r="E52" s="6">
        <f>(5297491)/1000</f>
        <v>5297.491</v>
      </c>
    </row>
    <row r="53" spans="1:7" s="19" customFormat="1" ht="21.95" customHeight="1" x14ac:dyDescent="0.2">
      <c r="A53" s="8"/>
      <c r="B53" s="7" t="s">
        <v>28</v>
      </c>
      <c r="C53" s="7">
        <f>48665.16</f>
        <v>48665.16</v>
      </c>
      <c r="D53" s="26">
        <f t="shared" si="3"/>
        <v>48.66516</v>
      </c>
      <c r="E53" s="6"/>
    </row>
    <row r="54" spans="1:7" s="19" customFormat="1" ht="21.95" customHeight="1" x14ac:dyDescent="0.2">
      <c r="A54" s="8"/>
      <c r="B54" s="7" t="s">
        <v>27</v>
      </c>
      <c r="C54" s="7"/>
      <c r="D54" s="26">
        <f t="shared" si="3"/>
        <v>0</v>
      </c>
      <c r="E54" s="6">
        <v>0</v>
      </c>
    </row>
    <row r="55" spans="1:7" s="19" customFormat="1" ht="21.95" customHeight="1" x14ac:dyDescent="0.2">
      <c r="A55" s="8"/>
      <c r="B55" s="7" t="s">
        <v>26</v>
      </c>
      <c r="C55" s="7"/>
      <c r="D55" s="26">
        <f t="shared" si="3"/>
        <v>0</v>
      </c>
      <c r="E55" s="6">
        <v>0</v>
      </c>
    </row>
    <row r="56" spans="1:7" s="19" customFormat="1" ht="21.95" customHeight="1" x14ac:dyDescent="0.2">
      <c r="A56" s="8"/>
      <c r="B56" s="7" t="s">
        <v>25</v>
      </c>
      <c r="C56" s="7">
        <v>7756872.3899999997</v>
      </c>
      <c r="D56" s="26">
        <f t="shared" si="3"/>
        <v>7756.8723899999995</v>
      </c>
      <c r="E56" s="6">
        <f>3804461/1000</f>
        <v>3804.4609999999998</v>
      </c>
    </row>
    <row r="57" spans="1:7" s="19" customFormat="1" ht="21.95" customHeight="1" x14ac:dyDescent="0.2">
      <c r="A57" s="8"/>
      <c r="B57" s="7" t="s">
        <v>24</v>
      </c>
      <c r="C57" s="7">
        <v>738951.53999999899</v>
      </c>
      <c r="D57" s="26">
        <f t="shared" si="3"/>
        <v>738.951539999999</v>
      </c>
      <c r="E57" s="6">
        <f>773881/1000</f>
        <v>773.88099999999997</v>
      </c>
    </row>
    <row r="58" spans="1:7" s="18" customFormat="1" ht="21.95" customHeight="1" x14ac:dyDescent="0.2">
      <c r="A58" s="4"/>
      <c r="B58" s="10" t="s">
        <v>23</v>
      </c>
      <c r="C58" s="10"/>
      <c r="D58" s="9">
        <f>SUM(D50:D57)</f>
        <v>28024.810010000001</v>
      </c>
      <c r="E58" s="9">
        <f>SUM(E50:E57)</f>
        <v>24575.933000000001</v>
      </c>
    </row>
    <row r="59" spans="1:7" s="18" customFormat="1" ht="21.95" customHeight="1" x14ac:dyDescent="0.2">
      <c r="A59" s="4"/>
      <c r="B59" s="10" t="s">
        <v>22</v>
      </c>
      <c r="C59" s="10"/>
      <c r="D59" s="9">
        <f>+D47+D58</f>
        <v>179803.42337999999</v>
      </c>
      <c r="E59" s="9">
        <f>+E47+E58</f>
        <v>155012.014</v>
      </c>
      <c r="F59" s="1"/>
      <c r="G59" s="1"/>
    </row>
    <row r="60" spans="1:7" s="8" customFormat="1" ht="21.95" customHeight="1" x14ac:dyDescent="0.2">
      <c r="B60" s="17" t="s">
        <v>21</v>
      </c>
      <c r="C60" s="34"/>
      <c r="D60" s="34">
        <v>2017</v>
      </c>
      <c r="E60" s="16">
        <f>+E4</f>
        <v>2016</v>
      </c>
    </row>
    <row r="61" spans="1:7" s="14" customFormat="1" ht="21.95" customHeight="1" x14ac:dyDescent="0.2">
      <c r="A61" s="8"/>
      <c r="B61" s="10" t="s">
        <v>20</v>
      </c>
      <c r="C61" s="10"/>
      <c r="D61" s="10"/>
      <c r="E61" s="15"/>
    </row>
    <row r="62" spans="1:7" s="5" customFormat="1" ht="21.95" customHeight="1" x14ac:dyDescent="0.2">
      <c r="A62" s="8"/>
      <c r="B62" s="7" t="s">
        <v>19</v>
      </c>
      <c r="C62" s="7">
        <v>6488257</v>
      </c>
      <c r="D62" s="35">
        <f t="shared" ref="D62:D63" si="4">C62/1000</f>
        <v>6488.2569999999996</v>
      </c>
      <c r="E62" s="6">
        <f>5530050/1000</f>
        <v>5530.05</v>
      </c>
    </row>
    <row r="63" spans="1:7" s="5" customFormat="1" ht="21.95" customHeight="1" x14ac:dyDescent="0.2">
      <c r="A63" s="8"/>
      <c r="B63" s="7" t="s">
        <v>18</v>
      </c>
      <c r="C63" s="7">
        <f>870958.45</f>
        <v>870958.45</v>
      </c>
      <c r="D63" s="35">
        <f t="shared" si="4"/>
        <v>870.95844999999997</v>
      </c>
      <c r="E63" s="6">
        <f>55832/1000</f>
        <v>55.832000000000001</v>
      </c>
    </row>
    <row r="64" spans="1:7" s="5" customFormat="1" ht="21.95" customHeight="1" x14ac:dyDescent="0.2">
      <c r="A64" s="8"/>
      <c r="B64" s="7" t="s">
        <v>15</v>
      </c>
      <c r="C64" s="7"/>
      <c r="D64" s="7"/>
      <c r="E64" s="6"/>
    </row>
    <row r="65" spans="1:5" s="1" customFormat="1" ht="21.95" customHeight="1" x14ac:dyDescent="0.2">
      <c r="A65" s="4"/>
      <c r="B65" s="10" t="s">
        <v>17</v>
      </c>
      <c r="C65" s="10">
        <f>2352360.44</f>
        <v>2352360.44</v>
      </c>
      <c r="D65" s="9">
        <f>-C65/1000</f>
        <v>-2352.3604399999999</v>
      </c>
      <c r="E65" s="9">
        <f>-1870976/1000</f>
        <v>-1870.9760000000001</v>
      </c>
    </row>
    <row r="66" spans="1:5" s="1" customFormat="1" ht="21.95" customHeight="1" x14ac:dyDescent="0.2">
      <c r="A66" s="4"/>
      <c r="B66" s="10" t="s">
        <v>16</v>
      </c>
      <c r="C66" s="10"/>
      <c r="D66" s="37">
        <f>+D62+D65+D63</f>
        <v>5006.8550099999993</v>
      </c>
      <c r="E66" s="9">
        <f>+E62+E65+E63</f>
        <v>3714.9059999999999</v>
      </c>
    </row>
    <row r="67" spans="1:5" s="1" customFormat="1" ht="21.95" customHeight="1" x14ac:dyDescent="0.2">
      <c r="A67" s="4"/>
      <c r="B67" s="13" t="s">
        <v>15</v>
      </c>
      <c r="C67" s="13"/>
      <c r="D67" s="13"/>
      <c r="E67" s="9"/>
    </row>
    <row r="68" spans="1:5" s="1" customFormat="1" ht="21.95" customHeight="1" x14ac:dyDescent="0.2">
      <c r="A68" s="4"/>
      <c r="B68" s="10" t="s">
        <v>14</v>
      </c>
      <c r="C68" s="10"/>
      <c r="D68" s="10"/>
      <c r="E68" s="9"/>
    </row>
    <row r="69" spans="1:5" s="5" customFormat="1" ht="21.95" customHeight="1" x14ac:dyDescent="0.2">
      <c r="A69" s="8"/>
      <c r="B69" s="7" t="s">
        <v>13</v>
      </c>
      <c r="C69" s="7"/>
      <c r="D69" s="35">
        <f t="shared" ref="D69:D77" si="5">C69/1000</f>
        <v>0</v>
      </c>
      <c r="E69" s="6">
        <v>0</v>
      </c>
    </row>
    <row r="70" spans="1:5" s="5" customFormat="1" ht="21.95" customHeight="1" x14ac:dyDescent="0.2">
      <c r="A70" s="8"/>
      <c r="B70" s="7" t="s">
        <v>12</v>
      </c>
      <c r="C70" s="7">
        <v>2324178</v>
      </c>
      <c r="D70" s="6">
        <f>-C70/1000</f>
        <v>-2324.1779999999999</v>
      </c>
      <c r="E70" s="6">
        <f>(-1400078)/1000</f>
        <v>-1400.078</v>
      </c>
    </row>
    <row r="71" spans="1:5" s="5" customFormat="1" ht="21.95" customHeight="1" x14ac:dyDescent="0.2">
      <c r="A71" s="8"/>
      <c r="B71" s="7" t="s">
        <v>11</v>
      </c>
      <c r="C71" s="7">
        <v>998134.14</v>
      </c>
      <c r="D71" s="6">
        <f>-C71/1000</f>
        <v>-998.13414</v>
      </c>
      <c r="E71" s="6">
        <f>-959078/1000</f>
        <v>-959.07799999999997</v>
      </c>
    </row>
    <row r="72" spans="1:5" s="5" customFormat="1" ht="21.95" customHeight="1" x14ac:dyDescent="0.2">
      <c r="A72" s="8"/>
      <c r="B72" s="7" t="s">
        <v>10</v>
      </c>
      <c r="C72" s="7">
        <f>312691.13</f>
        <v>312691.13</v>
      </c>
      <c r="D72" s="6">
        <f>-C72/1000</f>
        <v>-312.69112999999999</v>
      </c>
      <c r="E72" s="6">
        <f>-138505/1000</f>
        <v>-138.505</v>
      </c>
    </row>
    <row r="73" spans="1:5" s="1" customFormat="1" ht="21.95" customHeight="1" x14ac:dyDescent="0.2">
      <c r="A73" s="4"/>
      <c r="B73" s="10" t="s">
        <v>9</v>
      </c>
      <c r="C73" s="10"/>
      <c r="D73" s="9">
        <f>SUM(D66:D72)</f>
        <v>1371.8517399999994</v>
      </c>
      <c r="E73" s="9">
        <f>SUM(E66:E72)</f>
        <v>1217.2449999999999</v>
      </c>
    </row>
    <row r="74" spans="1:5" s="5" customFormat="1" ht="21.95" customHeight="1" x14ac:dyDescent="0.2">
      <c r="A74" s="8"/>
      <c r="B74" s="7" t="s">
        <v>8</v>
      </c>
      <c r="C74" s="7">
        <f>167040.64-97973</f>
        <v>69067.640000000014</v>
      </c>
      <c r="D74" s="35"/>
      <c r="E74" s="6"/>
    </row>
    <row r="75" spans="1:5" s="5" customFormat="1" ht="21.95" customHeight="1" x14ac:dyDescent="0.2">
      <c r="A75" s="8"/>
      <c r="B75" s="7" t="s">
        <v>7</v>
      </c>
      <c r="C75" s="7"/>
      <c r="D75" s="35">
        <f t="shared" si="5"/>
        <v>0</v>
      </c>
      <c r="E75" s="6">
        <v>0</v>
      </c>
    </row>
    <row r="76" spans="1:5" s="11" customFormat="1" ht="21.95" customHeight="1" x14ac:dyDescent="0.2">
      <c r="A76" s="12"/>
      <c r="B76" s="7" t="s">
        <v>6</v>
      </c>
      <c r="C76" s="7"/>
      <c r="D76" s="35">
        <f t="shared" si="5"/>
        <v>0</v>
      </c>
      <c r="E76" s="6">
        <v>0</v>
      </c>
    </row>
    <row r="77" spans="1:5" s="5" customFormat="1" ht="21.95" customHeight="1" x14ac:dyDescent="0.2">
      <c r="A77" s="8"/>
      <c r="B77" s="7" t="s">
        <v>5</v>
      </c>
      <c r="C77" s="7">
        <f>167040.64-97973</f>
        <v>69067.640000000014</v>
      </c>
      <c r="D77" s="35">
        <f t="shared" si="5"/>
        <v>69.067640000000011</v>
      </c>
      <c r="E77" s="6">
        <f>-5394/1000</f>
        <v>-5.3940000000000001</v>
      </c>
    </row>
    <row r="78" spans="1:5" s="1" customFormat="1" ht="21.95" customHeight="1" x14ac:dyDescent="0.2">
      <c r="A78" s="4"/>
      <c r="B78" s="10" t="s">
        <v>4</v>
      </c>
      <c r="C78" s="10"/>
      <c r="D78" s="9">
        <f>SUM(D73:D77)</f>
        <v>1440.9193799999994</v>
      </c>
      <c r="E78" s="9">
        <f>SUM(E73:E77)</f>
        <v>1211.8509999999999</v>
      </c>
    </row>
    <row r="79" spans="1:5" s="5" customFormat="1" ht="21.95" customHeight="1" x14ac:dyDescent="0.2">
      <c r="A79" s="8"/>
      <c r="B79" s="7" t="s">
        <v>3</v>
      </c>
      <c r="C79" s="7"/>
      <c r="D79" s="7"/>
      <c r="E79" s="6">
        <v>0</v>
      </c>
    </row>
    <row r="80" spans="1:5" s="5" customFormat="1" ht="21.95" customHeight="1" x14ac:dyDescent="0.2">
      <c r="A80" s="8"/>
      <c r="B80" s="7" t="s">
        <v>2</v>
      </c>
      <c r="C80" s="7"/>
      <c r="D80" s="7"/>
      <c r="E80" s="6">
        <v>0</v>
      </c>
    </row>
    <row r="81" spans="1:5" s="5" customFormat="1" ht="21.95" customHeight="1" x14ac:dyDescent="0.2">
      <c r="A81" s="8"/>
      <c r="B81" s="7" t="s">
        <v>1</v>
      </c>
      <c r="C81" s="7">
        <f>701967.079999999</f>
        <v>701967.07999999903</v>
      </c>
      <c r="D81" s="6">
        <f>-C81/1000</f>
        <v>-701.96707999999899</v>
      </c>
      <c r="E81" s="6">
        <f>-437969/1000</f>
        <v>-437.96899999999999</v>
      </c>
    </row>
    <row r="82" spans="1:5" s="1" customFormat="1" ht="21.95" customHeight="1" x14ac:dyDescent="0.2">
      <c r="A82" s="4"/>
      <c r="B82" s="3" t="s">
        <v>0</v>
      </c>
      <c r="C82" s="3"/>
      <c r="D82" s="2">
        <f>SUM(D78:D81)</f>
        <v>738.95230000000038</v>
      </c>
      <c r="E82" s="2">
        <f>SUM(E78:E81)</f>
        <v>773.88199999999983</v>
      </c>
    </row>
    <row r="83" spans="1:5" ht="12.75" x14ac:dyDescent="0.2"/>
    <row r="84" spans="1:5" ht="12.75" x14ac:dyDescent="0.2"/>
    <row r="85" spans="1:5" ht="12.75" x14ac:dyDescent="0.2"/>
    <row r="86" spans="1:5" ht="12.75" x14ac:dyDescent="0.2"/>
    <row r="87" spans="1:5" ht="12.75" x14ac:dyDescent="0.2"/>
    <row r="88" spans="1:5" ht="12.75" x14ac:dyDescent="0.2"/>
    <row r="89" spans="1:5" ht="12.75" x14ac:dyDescent="0.2"/>
    <row r="90" spans="1:5" ht="12.75" x14ac:dyDescent="0.2"/>
    <row r="91" spans="1:5" ht="12.75" x14ac:dyDescent="0.2"/>
    <row r="92" spans="1:5" ht="12.75" x14ac:dyDescent="0.2"/>
    <row r="93" spans="1:5" ht="12.75" x14ac:dyDescent="0.2"/>
    <row r="94" spans="1:5" ht="12.75" x14ac:dyDescent="0.2"/>
    <row r="95" spans="1:5" ht="12.75" x14ac:dyDescent="0.2"/>
    <row r="96" spans="1:5" ht="12.75" x14ac:dyDescent="0.2"/>
    <row r="97" ht="12.75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rotectedRanges>
    <protectedRange password="C594" sqref="B2:D2" name="Rango11_1"/>
    <protectedRange password="C594" sqref="E8" name="Rango1_1"/>
    <protectedRange password="C594" sqref="E56" name="Rango1_5"/>
  </protectedRanges>
  <mergeCells count="3">
    <mergeCell ref="B1:E1"/>
    <mergeCell ref="B2:E2"/>
    <mergeCell ref="B3:E3"/>
  </mergeCells>
  <printOptions horizontalCentered="1"/>
  <pageMargins left="0.59055118110236227" right="0.59055118110236227" top="0.53" bottom="0.59055118110236227" header="0.15748031496062992" footer="0.55118110236220474"/>
  <pageSetup scale="56" fitToWidth="2" orientation="portrait" horizontalDpi="300" verticalDpi="300" r:id="rId1"/>
  <headerFooter alignWithMargins="0"/>
  <rowBreaks count="1" manualBreakCount="1">
    <brk id="59" min="1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Mar17</vt:lpstr>
      <vt:lpstr>'Mar17'!Print_Area</vt:lpstr>
      <vt:lpstr>'Mar17'!Print_Titles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Reyes</dc:creator>
  <cp:lastModifiedBy>Administrador</cp:lastModifiedBy>
  <dcterms:created xsi:type="dcterms:W3CDTF">2016-12-15T14:19:23Z</dcterms:created>
  <dcterms:modified xsi:type="dcterms:W3CDTF">2017-05-12T16:59:54Z</dcterms:modified>
</cp:coreProperties>
</file>